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1"/>
  </bookViews>
  <sheets>
    <sheet name="Rischio" sheetId="1" r:id="rId1"/>
    <sheet name="Maurer" sheetId="2" r:id="rId2"/>
    <sheet name="Configurazione" sheetId="3" state="hidden" r:id="rId3"/>
  </sheets>
  <definedNames/>
  <calcPr fullCalcOnLoad="1"/>
</workbook>
</file>

<file path=xl/sharedStrings.xml><?xml version="1.0" encoding="utf-8"?>
<sst xmlns="http://schemas.openxmlformats.org/spreadsheetml/2006/main" count="190" uniqueCount="170">
  <si>
    <t>Denominazione</t>
  </si>
  <si>
    <t>Data</t>
  </si>
  <si>
    <t>Valutazione rischio per Eventi e Manifestazioni programmate</t>
  </si>
  <si>
    <t>Ogni quanto si verifica?</t>
  </si>
  <si>
    <t>Per inserire i dati utilizzare i menù a tendina delle celle VERDI!!</t>
  </si>
  <si>
    <t>Tipologia</t>
  </si>
  <si>
    <t>Prevista vendita/consumo alcol?</t>
  </si>
  <si>
    <t>Possibile consumo droga?</t>
  </si>
  <si>
    <t>Presenza bambini, anziani, disabili?</t>
  </si>
  <si>
    <t>Ampiamente pubblicizzato?</t>
  </si>
  <si>
    <t>Prevista presenza personalità?</t>
  </si>
  <si>
    <t>Possibili problemi viabilità?</t>
  </si>
  <si>
    <t>Possibili problemi OP?</t>
  </si>
  <si>
    <t>Durata</t>
  </si>
  <si>
    <t>Dove si verifica?</t>
  </si>
  <si>
    <t>Ambiente acquatico/montano/impervio?</t>
  </si>
  <si>
    <t>All'aperto?</t>
  </si>
  <si>
    <t>Localizzato e ben definito?</t>
  </si>
  <si>
    <t>Area &gt; campo da calcio?</t>
  </si>
  <si>
    <t>Delimitato da recinzioni?</t>
  </si>
  <si>
    <t>Scale in entrata o uscita?</t>
  </si>
  <si>
    <t>Recinzioni temporanee?</t>
  </si>
  <si>
    <t>Palco/Copertura/Ponteggio temporanei?</t>
  </si>
  <si>
    <t>Presenza servizi igienici?</t>
  </si>
  <si>
    <t>Disponibilità acqua?</t>
  </si>
  <si>
    <t>Punto ristoro?</t>
  </si>
  <si>
    <t>N. partecipanti previsto</t>
  </si>
  <si>
    <t>Età prevalente</t>
  </si>
  <si>
    <t>Densità partecipanti per m2</t>
  </si>
  <si>
    <t>Condizione partecipanti</t>
  </si>
  <si>
    <t>Posizione partecipanti</t>
  </si>
  <si>
    <t>Coefficiente di rischio</t>
  </si>
  <si>
    <t>Totale</t>
  </si>
  <si>
    <t>Molto basso / Basso</t>
  </si>
  <si>
    <t>&lt;18</t>
  </si>
  <si>
    <t>Obbligo di comunicazione 118 almeno 15gg prima</t>
  </si>
  <si>
    <t>Moderato / Elevato</t>
  </si>
  <si>
    <t>18-36</t>
  </si>
  <si>
    <t>Obbligo di comunicazione 118 almeno 30gg prima, trasmissione del Piano e recepimento prescrizioni</t>
  </si>
  <si>
    <t>Molto Elevato</t>
  </si>
  <si>
    <t>37-55</t>
  </si>
  <si>
    <t>Obbligo di comunicazione 118 almeno 45gg prima, validazione Piano e recepimento prescrizioni</t>
  </si>
  <si>
    <t>Stima delle risorse richieste secondo algoritmo Maurer</t>
  </si>
  <si>
    <t>Informazioni sull'evento</t>
  </si>
  <si>
    <t>Numero partecipanti tot  (inserire nella cella a fianco)</t>
  </si>
  <si>
    <t>Si svolge al chiuso?</t>
  </si>
  <si>
    <t>Capienza massima</t>
  </si>
  <si>
    <t>Tipo di manifestazione</t>
  </si>
  <si>
    <t>Numero Personalità previste (inserire nella cella a fianco)</t>
  </si>
  <si>
    <t>Problemi Ordine Pubblico?</t>
  </si>
  <si>
    <t>Coefficente di Maurer</t>
  </si>
  <si>
    <t>N. ambulanze di soccorso</t>
  </si>
  <si>
    <t>Unità medicalizzate</t>
  </si>
  <si>
    <t>N. soccorritori</t>
  </si>
  <si>
    <t>Per inserire i dati utilizzare i menù a tendina delle celle VERDI!! RICORDARSI DI INSERIRE IL NUMERO DEI PARTECIPANTI TOT (inteso come partecipanti+pubblico+astanti)</t>
  </si>
  <si>
    <t>t_cap</t>
  </si>
  <si>
    <t>t_man</t>
  </si>
  <si>
    <t>t_log</t>
  </si>
  <si>
    <t>t_op</t>
  </si>
  <si>
    <t>Equitazione</t>
  </si>
  <si>
    <t>Sì</t>
  </si>
  <si>
    <t>Concerto</t>
  </si>
  <si>
    <t>No</t>
  </si>
  <si>
    <t>Opera</t>
  </si>
  <si>
    <t>Rappresentazione teatrale</t>
  </si>
  <si>
    <t>Show</t>
  </si>
  <si>
    <t>Manifestazione sportiva generica</t>
  </si>
  <si>
    <t>Esposizione</t>
  </si>
  <si>
    <t>Bazar</t>
  </si>
  <si>
    <t>t_MSB</t>
  </si>
  <si>
    <t>t_coord</t>
  </si>
  <si>
    <t>Danza</t>
  </si>
  <si>
    <t>0,1 – 1</t>
  </si>
  <si>
    <t>0,1 – 30</t>
  </si>
  <si>
    <t>Walk around</t>
  </si>
  <si>
    <t>Gara ciclistica</t>
  </si>
  <si>
    <t>1 – 6,0</t>
  </si>
  <si>
    <t>30,1 – 60</t>
  </si>
  <si>
    <t>Fisso staff ridotto</t>
  </si>
  <si>
    <t>Mercatino</t>
  </si>
  <si>
    <t>6,1 – 25,5</t>
  </si>
  <si>
    <t>&gt;60</t>
  </si>
  <si>
    <t>Fisso staff completo</t>
  </si>
  <si>
    <t>Fiera</t>
  </si>
  <si>
    <t>25,6 – 45,5</t>
  </si>
  <si>
    <t>Gara di fondo</t>
  </si>
  <si>
    <t>45,6 – 60,5</t>
  </si>
  <si>
    <t>Mista sport musica show</t>
  </si>
  <si>
    <t>60,6 – 75,5</t>
  </si>
  <si>
    <t>Fuochi d'artificio</t>
  </si>
  <si>
    <t>75,6 – 100</t>
  </si>
  <si>
    <t>Festa folkloristica</t>
  </si>
  <si>
    <t>&gt;100,1</t>
  </si>
  <si>
    <t>Festa di quartiere o strada</t>
  </si>
  <si>
    <t>Manifestazione musicale</t>
  </si>
  <si>
    <t>Comizio</t>
  </si>
  <si>
    <t>Carnevale</t>
  </si>
  <si>
    <t>t_eta</t>
  </si>
  <si>
    <t>Dimostrazione o corteo</t>
  </si>
  <si>
    <t>t_med</t>
  </si>
  <si>
    <t>t_socc</t>
  </si>
  <si>
    <t>&lt;25 &gt;65</t>
  </si>
  <si>
    <t>Gara automobilistica o motociclistica</t>
  </si>
  <si>
    <t>0,1 – 13</t>
  </si>
  <si>
    <t>0,1 – 2</t>
  </si>
  <si>
    <t>25-65</t>
  </si>
  <si>
    <t>Airshow</t>
  </si>
  <si>
    <t>13,1 – 30</t>
  </si>
  <si>
    <t>2,1 – 4</t>
  </si>
  <si>
    <t>Concerto Rock</t>
  </si>
  <si>
    <t>4,1 – 13,5</t>
  </si>
  <si>
    <t>60,1 – 90</t>
  </si>
  <si>
    <t>13,6 – 22</t>
  </si>
  <si>
    <t>&gt;90,1</t>
  </si>
  <si>
    <t>22,1 – 40</t>
  </si>
  <si>
    <t>40,1 – 60</t>
  </si>
  <si>
    <t>t_tipo</t>
  </si>
  <si>
    <t>60,1 – 80</t>
  </si>
  <si>
    <t>Sportivo / Religioso</t>
  </si>
  <si>
    <t>80,1 – 100</t>
  </si>
  <si>
    <t>Intrattenimento</t>
  </si>
  <si>
    <t>t_bin</t>
  </si>
  <si>
    <t>100,1 – 120</t>
  </si>
  <si>
    <t>Politico / Sociale</t>
  </si>
  <si>
    <t>&gt;120</t>
  </si>
  <si>
    <t>t_freq</t>
  </si>
  <si>
    <t>Concerto Pop / Rock</t>
  </si>
  <si>
    <t>Annualmente</t>
  </si>
  <si>
    <t>Mensilmente</t>
  </si>
  <si>
    <t>t_dur</t>
  </si>
  <si>
    <t>Giornalmente</t>
  </si>
  <si>
    <t>&lt;12 h</t>
  </si>
  <si>
    <t>t_loco</t>
  </si>
  <si>
    <t>t_rebin</t>
  </si>
  <si>
    <t>t_terbin</t>
  </si>
  <si>
    <t>Occasionalmente / all'improvviso</t>
  </si>
  <si>
    <t>tra 12h e 3g</t>
  </si>
  <si>
    <t>Città</t>
  </si>
  <si>
    <t>&gt;3g</t>
  </si>
  <si>
    <t>Periferia/Piccoli centri</t>
  </si>
  <si>
    <t>t_min</t>
  </si>
  <si>
    <t>t_stim</t>
  </si>
  <si>
    <t>t_pop</t>
  </si>
  <si>
    <t>t_cond</t>
  </si>
  <si>
    <t>t_posi</t>
  </si>
  <si>
    <t>&lt;5000</t>
  </si>
  <si>
    <t>Bassa 1-2/m2</t>
  </si>
  <si>
    <t>Rilassati</t>
  </si>
  <si>
    <t>Seduti</t>
  </si>
  <si>
    <t>5000-25000</t>
  </si>
  <si>
    <t>Media 3-4/m2</t>
  </si>
  <si>
    <t>Eccitati</t>
  </si>
  <si>
    <t>In parte seduti</t>
  </si>
  <si>
    <t>25000-100000</t>
  </si>
  <si>
    <t>Alta 4-8/m2</t>
  </si>
  <si>
    <t>Aggressivi</t>
  </si>
  <si>
    <t>In piedi</t>
  </si>
  <si>
    <t>100000-500000</t>
  </si>
  <si>
    <t>Estrema &gt;8/m2</t>
  </si>
  <si>
    <t>&gt;500000</t>
  </si>
  <si>
    <t>t_exit</t>
  </si>
  <si>
    <t>t_over</t>
  </si>
  <si>
    <t>Capienza</t>
  </si>
  <si>
    <t>corretta</t>
  </si>
  <si>
    <t>Fino a 1,2</t>
  </si>
  <si>
    <t>Da 1,2 a 1,3</t>
  </si>
  <si>
    <t>Da 1,3 a 1,4</t>
  </si>
  <si>
    <t>Da 1,4 a 1,5</t>
  </si>
  <si>
    <t>Fino al doppio</t>
  </si>
  <si>
    <t>Più del doppio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</si>
</sst>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VERO&quot;;&quot;VERO&quot;;&quot;FALSO&quot;"/>
  </numFmts>
  <fonts count="43"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.5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164" fontId="2" fillId="34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 horizontal="center"/>
      <protection locked="0"/>
    </xf>
    <xf numFmtId="0" fontId="3" fillId="36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locked="0"/>
    </xf>
    <xf numFmtId="0" fontId="3" fillId="37" borderId="0" xfId="0" applyFont="1" applyFill="1" applyAlignment="1" applyProtection="1">
      <alignment horizontal="center"/>
      <protection hidden="1"/>
    </xf>
    <xf numFmtId="0" fontId="0" fillId="38" borderId="0" xfId="0" applyFont="1" applyFill="1" applyAlignment="1" applyProtection="1">
      <alignment/>
      <protection/>
    </xf>
    <xf numFmtId="0" fontId="0" fillId="38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6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6" fillId="36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6" borderId="0" xfId="0" applyFont="1" applyFill="1" applyAlignment="1" applyProtection="1">
      <alignment horizontal="left"/>
      <protection hidden="1"/>
    </xf>
    <xf numFmtId="2" fontId="3" fillId="36" borderId="0" xfId="0" applyNumberFormat="1" applyFont="1" applyFill="1" applyAlignment="1" applyProtection="1">
      <alignment horizontal="center"/>
      <protection hidden="1"/>
    </xf>
    <xf numFmtId="165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8" fillId="36" borderId="0" xfId="0" applyFont="1" applyFill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3" fillId="36" borderId="0" xfId="0" applyFont="1" applyFill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26">
      <selection activeCell="G5" sqref="G5"/>
    </sheetView>
  </sheetViews>
  <sheetFormatPr defaultColWidth="11.57421875" defaultRowHeight="12.75"/>
  <cols>
    <col min="1" max="1" width="11.57421875" style="1" customWidth="1"/>
    <col min="2" max="2" width="22.421875" style="1" customWidth="1"/>
    <col min="3" max="3" width="22.8515625" style="1" customWidth="1"/>
    <col min="4" max="16384" width="11.57421875" style="1" customWidth="1"/>
  </cols>
  <sheetData>
    <row r="1" spans="1:256" ht="15.75">
      <c r="A1" s="2" t="s">
        <v>0</v>
      </c>
      <c r="B1" s="3"/>
      <c r="C1" s="42"/>
      <c r="D1" s="42"/>
      <c r="E1" s="4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4" t="s">
        <v>1</v>
      </c>
      <c r="B2" s="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43" t="s">
        <v>2</v>
      </c>
      <c r="B4" s="43"/>
      <c r="C4" s="43"/>
      <c r="D4" s="43"/>
      <c r="E4" s="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6" spans="1:256" ht="12.75" customHeight="1">
      <c r="A6" s="7" t="s">
        <v>3</v>
      </c>
      <c r="B6" s="7"/>
      <c r="C6" s="8"/>
      <c r="D6" s="9" t="e">
        <f>VLOOKUP($C6,Configurazione!A35:B38,2,0)</f>
        <v>#N/A</v>
      </c>
      <c r="E6"/>
      <c r="F6" s="44" t="s">
        <v>4</v>
      </c>
      <c r="G6" s="44"/>
      <c r="H6" s="10"/>
      <c r="I6" s="10"/>
      <c r="J6" s="1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1"/>
      <c r="B7" s="11"/>
      <c r="C7"/>
      <c r="D7" s="11"/>
      <c r="E7"/>
      <c r="F7" s="44"/>
      <c r="G7" s="4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7" t="s">
        <v>5</v>
      </c>
      <c r="B8" s="7"/>
      <c r="C8" s="12"/>
      <c r="D8" s="9" t="e">
        <f>VLOOKUP($C8,Configurazione!F31:G34,2,0)</f>
        <v>#N/A</v>
      </c>
      <c r="E8"/>
      <c r="F8" s="44"/>
      <c r="G8" s="44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1"/>
      <c r="B9" s="11"/>
      <c r="C9"/>
      <c r="D9" s="11"/>
      <c r="E9"/>
      <c r="F9" s="44"/>
      <c r="G9" s="4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7" t="s">
        <v>6</v>
      </c>
      <c r="B10" s="7"/>
      <c r="C10" s="12"/>
      <c r="D10" s="9" t="e">
        <f>VLOOKUP($C10,Configurazione!I33:J34,2,0)</f>
        <v>#N/A</v>
      </c>
      <c r="E10"/>
      <c r="F10" s="44"/>
      <c r="G10" s="4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1"/>
      <c r="B11" s="11"/>
      <c r="C11" s="13"/>
      <c r="D11" s="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4" t="s">
        <v>7</v>
      </c>
      <c r="B12" s="14"/>
      <c r="C12" s="12"/>
      <c r="D12" s="9" t="e">
        <f>VLOOKUP($C12,Configurazione!I33:J34,2,0)</f>
        <v>#N/A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1"/>
      <c r="B13" s="11"/>
      <c r="C13" s="13"/>
      <c r="D13" s="11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4" t="s">
        <v>8</v>
      </c>
      <c r="B14" s="14"/>
      <c r="C14" s="12"/>
      <c r="D14" s="9" t="e">
        <f>VLOOKUP($C14,Configurazione!I33:J34,2,0)</f>
        <v>#N/A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1"/>
      <c r="B15" s="11"/>
      <c r="C15" s="13"/>
      <c r="D15" s="11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4" t="s">
        <v>9</v>
      </c>
      <c r="B16" s="14"/>
      <c r="C16" s="12"/>
      <c r="D16" s="9" t="e">
        <f>VLOOKUP($C16,Configurazione!I33:J34,2,0)</f>
        <v>#N/A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1" ht="12.75">
      <c r="A17" s="11"/>
      <c r="B17" s="11"/>
      <c r="C17" s="15"/>
      <c r="D17" s="16"/>
      <c r="E17"/>
      <c r="F17"/>
      <c r="G17"/>
      <c r="H17"/>
      <c r="I17"/>
      <c r="J17"/>
      <c r="K17"/>
    </row>
    <row r="18" spans="1:11" ht="12.75">
      <c r="A18" s="14" t="s">
        <v>10</v>
      </c>
      <c r="B18" s="14"/>
      <c r="C18" s="12"/>
      <c r="D18" s="9" t="e">
        <f>VLOOKUP($C18,Configurazione!I33:J34,2,0)</f>
        <v>#N/A</v>
      </c>
      <c r="E18"/>
      <c r="F18"/>
      <c r="G18"/>
      <c r="H18"/>
      <c r="I18"/>
      <c r="J18"/>
      <c r="K18"/>
    </row>
    <row r="19" spans="1:11" ht="12.75">
      <c r="A19" s="11"/>
      <c r="B19" s="11"/>
      <c r="C19" s="15"/>
      <c r="D19" s="16"/>
      <c r="E19"/>
      <c r="F19"/>
      <c r="G19"/>
      <c r="H19"/>
      <c r="I19"/>
      <c r="J19"/>
      <c r="K19"/>
    </row>
    <row r="20" spans="1:11" ht="12.75">
      <c r="A20" s="14" t="s">
        <v>11</v>
      </c>
      <c r="B20" s="14"/>
      <c r="C20" s="12"/>
      <c r="D20" s="9" t="e">
        <f>VLOOKUP($C20,Configurazione!I33:J34,2,0)</f>
        <v>#N/A</v>
      </c>
      <c r="E20"/>
      <c r="F20"/>
      <c r="G20"/>
      <c r="H20"/>
      <c r="I20"/>
      <c r="J20"/>
      <c r="K20"/>
    </row>
    <row r="21" spans="1:11" ht="12.75">
      <c r="A21" s="11"/>
      <c r="B21" s="11"/>
      <c r="C21" s="15"/>
      <c r="D21" s="16"/>
      <c r="E21"/>
      <c r="F21"/>
      <c r="G21"/>
      <c r="H21"/>
      <c r="I21"/>
      <c r="J21"/>
      <c r="K21"/>
    </row>
    <row r="22" spans="1:11" ht="12.75">
      <c r="A22" s="14" t="s">
        <v>12</v>
      </c>
      <c r="B22" s="14"/>
      <c r="C22" s="12"/>
      <c r="D22" s="9" t="e">
        <f>VLOOKUP($C22,Configurazione!I33:J34,2,0)</f>
        <v>#N/A</v>
      </c>
      <c r="E22"/>
      <c r="F22"/>
      <c r="G22"/>
      <c r="H22"/>
      <c r="I22"/>
      <c r="J22"/>
      <c r="K22"/>
    </row>
    <row r="23" spans="1:11" ht="12.75">
      <c r="A23" s="11"/>
      <c r="B23" s="11"/>
      <c r="C23"/>
      <c r="D23" s="11"/>
      <c r="E23"/>
      <c r="F23"/>
      <c r="G23"/>
      <c r="H23"/>
      <c r="I23"/>
      <c r="J23"/>
      <c r="K23"/>
    </row>
    <row r="24" spans="1:11" ht="12.75">
      <c r="A24" s="7" t="s">
        <v>13</v>
      </c>
      <c r="B24" s="7"/>
      <c r="C24" s="12"/>
      <c r="D24" s="9" t="e">
        <f>VLOOKUP($C24,Configurazione!D37:E39,2,0)</f>
        <v>#N/A</v>
      </c>
      <c r="E24"/>
      <c r="F24"/>
      <c r="G24"/>
      <c r="H24"/>
      <c r="I24"/>
      <c r="J24"/>
      <c r="K24"/>
    </row>
    <row r="25" spans="1:11" ht="12.75">
      <c r="A25" s="11"/>
      <c r="B25" s="11"/>
      <c r="C25"/>
      <c r="D25" s="11"/>
      <c r="E25"/>
      <c r="F25"/>
      <c r="G25"/>
      <c r="H25"/>
      <c r="I25"/>
      <c r="J25"/>
      <c r="K25"/>
    </row>
    <row r="26" spans="1:11" ht="12.75">
      <c r="A26" s="7" t="s">
        <v>14</v>
      </c>
      <c r="B26" s="7"/>
      <c r="C26" s="12"/>
      <c r="D26" s="9" t="e">
        <f>VLOOKUP($C26,Configurazione!G38:H39,2,0)</f>
        <v>#N/A</v>
      </c>
      <c r="E26"/>
      <c r="F26"/>
      <c r="G26"/>
      <c r="H26"/>
      <c r="I26"/>
      <c r="J26"/>
      <c r="K26"/>
    </row>
    <row r="27" spans="1:11" ht="12.75">
      <c r="A27" s="11"/>
      <c r="B27" s="11"/>
      <c r="C27" s="13"/>
      <c r="D27" s="11"/>
      <c r="E27"/>
      <c r="F27"/>
      <c r="G27"/>
      <c r="H27"/>
      <c r="I27"/>
      <c r="J27"/>
      <c r="K27"/>
    </row>
    <row r="28" spans="1:11" ht="12.75">
      <c r="A28" s="7" t="s">
        <v>15</v>
      </c>
      <c r="B28" s="7"/>
      <c r="C28" s="12"/>
      <c r="D28" s="9" t="e">
        <f>VLOOKUP($C28,Configurazione!I33:J34,2,0)</f>
        <v>#N/A</v>
      </c>
      <c r="E28"/>
      <c r="F28"/>
      <c r="G28"/>
      <c r="H28"/>
      <c r="I28"/>
      <c r="J28"/>
      <c r="K28"/>
    </row>
    <row r="29" spans="1:11" ht="12.75">
      <c r="A29" s="11"/>
      <c r="B29" s="11"/>
      <c r="C29" s="13"/>
      <c r="D29" s="11"/>
      <c r="E29"/>
      <c r="F29"/>
      <c r="G29"/>
      <c r="H29"/>
      <c r="I29"/>
      <c r="J29"/>
      <c r="K29"/>
    </row>
    <row r="30" spans="1:11" ht="12.75">
      <c r="A30" s="7" t="s">
        <v>16</v>
      </c>
      <c r="B30" s="7"/>
      <c r="C30" s="12"/>
      <c r="D30" s="9" t="e">
        <f>VLOOKUP($C30,Configurazione!H3:I4,2,0)</f>
        <v>#N/A</v>
      </c>
      <c r="E30"/>
      <c r="F30"/>
      <c r="G30"/>
      <c r="H30"/>
      <c r="I30"/>
      <c r="J30"/>
      <c r="K30"/>
    </row>
    <row r="31" spans="1:11" ht="12.75">
      <c r="A31" s="17"/>
      <c r="B31" s="18"/>
      <c r="C31" s="13"/>
      <c r="D31" s="11"/>
      <c r="E31"/>
      <c r="F31"/>
      <c r="G31"/>
      <c r="H31"/>
      <c r="I31"/>
      <c r="J31"/>
      <c r="K31"/>
    </row>
    <row r="32" spans="1:11" ht="12.75">
      <c r="A32" s="7" t="s">
        <v>17</v>
      </c>
      <c r="B32" s="7"/>
      <c r="C32" s="12"/>
      <c r="D32" s="9" t="e">
        <f>VLOOKUP($C32,Configurazione!I33:J34,2,0)</f>
        <v>#N/A</v>
      </c>
      <c r="E32"/>
      <c r="F32"/>
      <c r="G32"/>
      <c r="H32"/>
      <c r="I32"/>
      <c r="J32"/>
      <c r="K32"/>
    </row>
    <row r="33" spans="1:11" ht="12.75">
      <c r="A33" s="11"/>
      <c r="B33" s="11"/>
      <c r="C33" s="13"/>
      <c r="D33" s="11"/>
      <c r="E33"/>
      <c r="F33"/>
      <c r="G33"/>
      <c r="H33"/>
      <c r="I33"/>
      <c r="J33"/>
      <c r="K33"/>
    </row>
    <row r="34" spans="1:11" ht="12.75">
      <c r="A34" s="7" t="s">
        <v>18</v>
      </c>
      <c r="B34" s="7"/>
      <c r="C34" s="12"/>
      <c r="D34" s="9" t="e">
        <f>VLOOKUP($C34,Configurazione!J38:K39,2,0)</f>
        <v>#N/A</v>
      </c>
      <c r="E34"/>
      <c r="F34"/>
      <c r="G34"/>
      <c r="H34"/>
      <c r="I34"/>
      <c r="J34"/>
      <c r="K34"/>
    </row>
    <row r="35" spans="1:11" ht="12.75">
      <c r="A35" s="11"/>
      <c r="B35" s="11"/>
      <c r="C35" s="13"/>
      <c r="D35" s="11"/>
      <c r="E35"/>
      <c r="F35"/>
      <c r="G35"/>
      <c r="H35"/>
      <c r="I35"/>
      <c r="J35"/>
      <c r="K35"/>
    </row>
    <row r="36" spans="1:11" ht="12.75">
      <c r="A36" s="7" t="s">
        <v>19</v>
      </c>
      <c r="B36" s="7"/>
      <c r="C36" s="12"/>
      <c r="D36" s="9" t="e">
        <f>VLOOKUP($C36,Configurazione!H3:I4,2,0)</f>
        <v>#N/A</v>
      </c>
      <c r="E36"/>
      <c r="F36"/>
      <c r="G36"/>
      <c r="H36"/>
      <c r="I36"/>
      <c r="J36"/>
      <c r="K36"/>
    </row>
    <row r="37" spans="1:11" ht="12.75">
      <c r="A37" s="11"/>
      <c r="B37" s="11"/>
      <c r="C37" s="13"/>
      <c r="D37" s="11"/>
      <c r="E37"/>
      <c r="F37"/>
      <c r="G37"/>
      <c r="H37"/>
      <c r="I37"/>
      <c r="J37"/>
      <c r="K37"/>
    </row>
    <row r="38" spans="1:11" ht="12.75">
      <c r="A38" s="7" t="s">
        <v>20</v>
      </c>
      <c r="B38" s="7"/>
      <c r="C38" s="12"/>
      <c r="D38" s="9" t="e">
        <f>VLOOKUP($C38,Configurazione!J38:K39,2,0)</f>
        <v>#N/A</v>
      </c>
      <c r="E38"/>
      <c r="F38"/>
      <c r="G38"/>
      <c r="H38"/>
      <c r="I38"/>
      <c r="J38"/>
      <c r="K38"/>
    </row>
    <row r="39" spans="1:11" ht="12.75">
      <c r="A39" s="11"/>
      <c r="B39" s="11"/>
      <c r="C39" s="13"/>
      <c r="D39" s="11"/>
      <c r="E39"/>
      <c r="F39"/>
      <c r="G39"/>
      <c r="H39"/>
      <c r="I39"/>
      <c r="J39"/>
      <c r="K39"/>
    </row>
    <row r="40" spans="1:11" ht="12.75">
      <c r="A40" s="7" t="s">
        <v>21</v>
      </c>
      <c r="B40" s="7"/>
      <c r="C40" s="12"/>
      <c r="D40" s="9" t="e">
        <f>VLOOKUP($C40,Configurazione!M38:N39,2,0)</f>
        <v>#N/A</v>
      </c>
      <c r="E40"/>
      <c r="F40"/>
      <c r="G40"/>
      <c r="H40"/>
      <c r="I40"/>
      <c r="J40"/>
      <c r="K40"/>
    </row>
    <row r="41" spans="1:11" ht="12.75">
      <c r="A41" s="18"/>
      <c r="B41" s="18"/>
      <c r="C41" s="13"/>
      <c r="D41" s="11"/>
      <c r="E41"/>
      <c r="F41"/>
      <c r="G41"/>
      <c r="H41"/>
      <c r="I41"/>
      <c r="J41"/>
      <c r="K41"/>
    </row>
    <row r="42" spans="1:11" ht="12.75">
      <c r="A42" s="7" t="s">
        <v>22</v>
      </c>
      <c r="B42" s="7"/>
      <c r="C42" s="12"/>
      <c r="D42" s="9" t="e">
        <f>VLOOKUP($C42,Configurazione!M38:N39,2,0)</f>
        <v>#N/A</v>
      </c>
      <c r="E42"/>
      <c r="F42"/>
      <c r="G42"/>
      <c r="H42"/>
      <c r="I42"/>
      <c r="J42"/>
      <c r="K42"/>
    </row>
    <row r="43" spans="1:11" ht="12.75">
      <c r="A43" s="11"/>
      <c r="B43" s="11"/>
      <c r="C43"/>
      <c r="D43" s="11"/>
      <c r="E43"/>
      <c r="F43"/>
      <c r="G43"/>
      <c r="H43"/>
      <c r="I43"/>
      <c r="J43"/>
      <c r="K43"/>
    </row>
    <row r="44" spans="1:11" ht="12.75">
      <c r="A44" s="7" t="s">
        <v>23</v>
      </c>
      <c r="B44" s="7"/>
      <c r="C44" s="12"/>
      <c r="D44" s="9" t="e">
        <f>VLOOKUP($C44,Configurazione!A42:B43,2,0)</f>
        <v>#N/A</v>
      </c>
      <c r="E44"/>
      <c r="F44"/>
      <c r="G44"/>
      <c r="H44"/>
      <c r="I44"/>
      <c r="J44"/>
      <c r="K44"/>
    </row>
    <row r="45" spans="1:11" ht="12.75">
      <c r="A45" s="11"/>
      <c r="B45" s="11"/>
      <c r="C45"/>
      <c r="D45" s="11"/>
      <c r="E45"/>
      <c r="F45"/>
      <c r="G45"/>
      <c r="H45"/>
      <c r="I45"/>
      <c r="J45"/>
      <c r="K45"/>
    </row>
    <row r="46" spans="1:11" ht="12.75">
      <c r="A46" s="7" t="s">
        <v>24</v>
      </c>
      <c r="B46" s="7"/>
      <c r="C46" s="12"/>
      <c r="D46" s="9" t="e">
        <f>VLOOKUP($C46,Configurazione!A42:B43,2,0)</f>
        <v>#N/A</v>
      </c>
      <c r="E46"/>
      <c r="F46"/>
      <c r="G46"/>
      <c r="H46"/>
      <c r="I46"/>
      <c r="J46"/>
      <c r="K46"/>
    </row>
    <row r="47" spans="1:11" ht="12.75">
      <c r="A47" s="11"/>
      <c r="B47" s="11"/>
      <c r="C47"/>
      <c r="D47" s="11"/>
      <c r="E47"/>
      <c r="F47"/>
      <c r="G47"/>
      <c r="H47"/>
      <c r="I47"/>
      <c r="J47"/>
      <c r="K47"/>
    </row>
    <row r="48" spans="1:11" ht="12.75">
      <c r="A48" s="7" t="s">
        <v>25</v>
      </c>
      <c r="B48" s="7"/>
      <c r="C48" s="12"/>
      <c r="D48" s="9" t="e">
        <f>VLOOKUP($C48,Configurazione!A42:B43,2,0)</f>
        <v>#N/A</v>
      </c>
      <c r="E48"/>
      <c r="F48"/>
      <c r="G48"/>
      <c r="H48"/>
      <c r="I48"/>
      <c r="J48"/>
      <c r="K48"/>
    </row>
    <row r="49" spans="1:11" ht="12.75">
      <c r="A49" s="11"/>
      <c r="B49" s="11"/>
      <c r="C49"/>
      <c r="D49" s="11"/>
      <c r="E49"/>
      <c r="F49"/>
      <c r="G49"/>
      <c r="H49"/>
      <c r="I49"/>
      <c r="J49"/>
      <c r="K49"/>
    </row>
    <row r="50" spans="1:11" ht="12.75">
      <c r="A50" s="7" t="s">
        <v>26</v>
      </c>
      <c r="B50" s="7"/>
      <c r="C50" s="12"/>
      <c r="D50" s="9" t="e">
        <f>VLOOKUP($C50,Configurazione!D42:E46,2,0)</f>
        <v>#N/A</v>
      </c>
      <c r="E50"/>
      <c r="F50"/>
      <c r="G50"/>
      <c r="H50"/>
      <c r="I50"/>
      <c r="J50"/>
      <c r="K50"/>
    </row>
    <row r="51" spans="1:11" ht="12.75">
      <c r="A51" s="11"/>
      <c r="B51" s="11"/>
      <c r="C51"/>
      <c r="D51" s="11"/>
      <c r="E51"/>
      <c r="F51"/>
      <c r="G51"/>
      <c r="H51"/>
      <c r="I51"/>
      <c r="J51"/>
      <c r="K51"/>
    </row>
    <row r="52" spans="1:11" ht="12.75">
      <c r="A52" s="7" t="s">
        <v>27</v>
      </c>
      <c r="B52" s="7"/>
      <c r="C52" s="12"/>
      <c r="D52" s="9" t="e">
        <f>VLOOKUP($C52,Configurazione!A24:B25,2,0)</f>
        <v>#N/A</v>
      </c>
      <c r="E52"/>
      <c r="F52"/>
      <c r="G52"/>
      <c r="H52"/>
      <c r="I52"/>
      <c r="J52"/>
      <c r="K52"/>
    </row>
    <row r="53" spans="1:11" ht="12.75">
      <c r="A53" s="11"/>
      <c r="B53" s="11"/>
      <c r="C53"/>
      <c r="D53" s="11"/>
      <c r="E53"/>
      <c r="F53"/>
      <c r="G53"/>
      <c r="H53"/>
      <c r="I53"/>
      <c r="J53"/>
      <c r="K53"/>
    </row>
    <row r="54" spans="1:11" ht="12.75">
      <c r="A54" s="14" t="s">
        <v>28</v>
      </c>
      <c r="B54" s="14"/>
      <c r="C54" s="19"/>
      <c r="D54" s="9" t="e">
        <f>VLOOKUP($C54,Configurazione!G42:H45,2,0)</f>
        <v>#N/A</v>
      </c>
      <c r="E54"/>
      <c r="F54"/>
      <c r="G54"/>
      <c r="H54"/>
      <c r="I54"/>
      <c r="J54"/>
      <c r="K54"/>
    </row>
    <row r="55" spans="1:11" ht="12.75">
      <c r="A55" s="11"/>
      <c r="B55" s="11"/>
      <c r="C55"/>
      <c r="D55" s="11"/>
      <c r="E55"/>
      <c r="F55"/>
      <c r="G55"/>
      <c r="H55"/>
      <c r="I55"/>
      <c r="J55"/>
      <c r="K55"/>
    </row>
    <row r="56" spans="1:11" ht="12.75">
      <c r="A56" s="14" t="s">
        <v>29</v>
      </c>
      <c r="B56" s="14"/>
      <c r="C56" s="19"/>
      <c r="D56" s="9" t="e">
        <f>VLOOKUP($C56,Configurazione!J42:K44,2,0)</f>
        <v>#N/A</v>
      </c>
      <c r="E56"/>
      <c r="F56"/>
      <c r="G56"/>
      <c r="H56"/>
      <c r="I56"/>
      <c r="J56"/>
      <c r="K56"/>
    </row>
    <row r="57" spans="1:11" ht="12.75">
      <c r="A57" s="11"/>
      <c r="B57" s="11"/>
      <c r="C57"/>
      <c r="D57" s="11"/>
      <c r="E57"/>
      <c r="F57"/>
      <c r="G57"/>
      <c r="H57"/>
      <c r="I57"/>
      <c r="J57"/>
      <c r="K57"/>
    </row>
    <row r="58" spans="1:11" ht="12.75">
      <c r="A58" s="14" t="s">
        <v>30</v>
      </c>
      <c r="B58" s="14"/>
      <c r="C58" s="19"/>
      <c r="D58" s="9" t="e">
        <f>VLOOKUP($C58,Configurazione!M42:N44,2,0)</f>
        <v>#N/A</v>
      </c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5">
      <c r="A60" s="45" t="s">
        <v>31</v>
      </c>
      <c r="B60" s="45"/>
      <c r="C60" s="20" t="s">
        <v>32</v>
      </c>
      <c r="D60" s="20" t="e">
        <f>SUM(D6:D58)</f>
        <v>#N/A</v>
      </c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/>
      <c r="B62"/>
      <c r="C62"/>
      <c r="D62"/>
      <c r="E62"/>
      <c r="F62"/>
      <c r="G62"/>
      <c r="H62"/>
      <c r="I62"/>
      <c r="J62"/>
      <c r="K62"/>
    </row>
    <row r="63" spans="1:11" ht="12.75">
      <c r="A63" s="21" t="s">
        <v>33</v>
      </c>
      <c r="B63" s="21"/>
      <c r="C63" s="22" t="s">
        <v>34</v>
      </c>
      <c r="D63" s="21" t="s">
        <v>35</v>
      </c>
      <c r="E63" s="21"/>
      <c r="F63" s="21"/>
      <c r="G63" s="21"/>
      <c r="H63" s="23"/>
      <c r="I63" s="23"/>
      <c r="J63" s="23"/>
      <c r="K63" s="23"/>
    </row>
    <row r="64" spans="1:11" ht="25.5" customHeight="1">
      <c r="A64" s="24" t="s">
        <v>36</v>
      </c>
      <c r="B64" s="24"/>
      <c r="C64" s="25" t="s">
        <v>37</v>
      </c>
      <c r="D64" s="46" t="s">
        <v>38</v>
      </c>
      <c r="E64" s="46"/>
      <c r="F64" s="46"/>
      <c r="G64" s="46"/>
      <c r="H64" s="23"/>
      <c r="I64" s="23"/>
      <c r="J64" s="23"/>
      <c r="K64" s="23"/>
    </row>
    <row r="65" spans="1:11" ht="25.5" customHeight="1">
      <c r="A65" s="26" t="s">
        <v>39</v>
      </c>
      <c r="B65" s="27"/>
      <c r="C65" s="28" t="s">
        <v>40</v>
      </c>
      <c r="D65" s="47" t="s">
        <v>41</v>
      </c>
      <c r="E65" s="47"/>
      <c r="F65" s="47"/>
      <c r="G65" s="47"/>
      <c r="H65" s="29"/>
      <c r="I65" s="29"/>
      <c r="J65" s="29"/>
      <c r="K65" s="23"/>
    </row>
  </sheetData>
  <sheetProtection password="CD51" sheet="1" selectLockedCells="1"/>
  <mergeCells count="6">
    <mergeCell ref="C1:E1"/>
    <mergeCell ref="A4:D4"/>
    <mergeCell ref="F6:G10"/>
    <mergeCell ref="A60:B60"/>
    <mergeCell ref="D64:G64"/>
    <mergeCell ref="D65:G65"/>
  </mergeCells>
  <dataValidations count="11">
    <dataValidation type="list" operator="equal" allowBlank="1" showErrorMessage="1" sqref="C6">
      <formula1>Configurazione!$A$35:$A$38</formula1>
    </dataValidation>
    <dataValidation type="list" operator="equal" allowBlank="1" showErrorMessage="1" sqref="C8">
      <formula1>Configurazione!$F$31:$F$34</formula1>
    </dataValidation>
    <dataValidation type="list" operator="equal" allowBlank="1" showErrorMessage="1" sqref="C10 C12 C14 C16:C22">
      <formula1>Configurazione!$I$33:$I$34</formula1>
    </dataValidation>
    <dataValidation type="list" operator="equal" allowBlank="1" showErrorMessage="1" sqref="C24">
      <formula1>Configurazione!$D$37:$D$39</formula1>
    </dataValidation>
    <dataValidation type="list" operator="equal" allowBlank="1" showErrorMessage="1" sqref="C26">
      <formula1>Configurazione!$G$38:$G$39</formula1>
    </dataValidation>
    <dataValidation type="list" operator="equal" allowBlank="1" showErrorMessage="1" sqref="C28 C30 C32 C34 C36 C38 C40 C42 C44 C46 C48">
      <formula1>Configurazione!$I$33:$I$34</formula1>
    </dataValidation>
    <dataValidation type="list" operator="equal" allowBlank="1" showErrorMessage="1" sqref="C50">
      <formula1>Configurazione!$D$42:$D$46</formula1>
    </dataValidation>
    <dataValidation type="list" operator="equal" allowBlank="1" showErrorMessage="1" sqref="C52">
      <formula1>Configurazione!$A$24:$A$25</formula1>
    </dataValidation>
    <dataValidation type="list" operator="equal" allowBlank="1" showErrorMessage="1" sqref="C54">
      <formula1>Configurazione!$G$42:$G$45</formula1>
    </dataValidation>
    <dataValidation type="list" operator="equal" allowBlank="1" showErrorMessage="1" sqref="C56">
      <formula1>Configurazione!$J$42:$J$44</formula1>
    </dataValidation>
    <dataValidation type="list" operator="equal" allowBlank="1" showErrorMessage="1" sqref="C58">
      <formula1>Configurazione!$M$42:$M$44</formula1>
    </dataValidation>
  </dataValidations>
  <printOptions/>
  <pageMargins left="0.2362204724409449" right="0.2755905511811024" top="0.2755905511811024" bottom="0.11811023622047245" header="0.5118110236220472" footer="0.5118110236220472"/>
  <pageSetup firstPageNumber="1" useFirstPageNumber="1" horizontalDpi="300" verticalDpi="300" orientation="portrait" paperSize="9" scale="96" r:id="rId1"/>
  <headerFooter alignWithMargins="0">
    <oddFooter>&amp;LMOD 113 Valutazione del rischio per eventi/manifestazioni programmati/e       Rev. 2 del 10.08.2015</oddFooter>
  </headerFooter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="110" zoomScaleNormal="110" zoomScalePageLayoutView="0" workbookViewId="0" topLeftCell="A1">
      <selection activeCell="I36" sqref="I36"/>
    </sheetView>
  </sheetViews>
  <sheetFormatPr defaultColWidth="11.57421875" defaultRowHeight="12.75"/>
  <cols>
    <col min="1" max="1" width="11.57421875" style="1" customWidth="1"/>
    <col min="2" max="2" width="13.57421875" style="1" customWidth="1"/>
    <col min="3" max="3" width="34.00390625" style="1" customWidth="1"/>
    <col min="4" max="4" width="12.140625" style="1" customWidth="1"/>
    <col min="5" max="16384" width="11.5742187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8" t="s">
        <v>42</v>
      </c>
      <c r="B2" s="48"/>
      <c r="C2" s="48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48" t="s">
        <v>43</v>
      </c>
      <c r="B4" s="48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30" t="s">
        <v>44</v>
      </c>
      <c r="B6" s="30"/>
      <c r="C6" s="31"/>
      <c r="D6" s="32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3"/>
      <c r="B7" s="23"/>
      <c r="C7"/>
      <c r="D7" s="1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30" t="s">
        <v>45</v>
      </c>
      <c r="B8" s="30"/>
      <c r="C8" s="19"/>
      <c r="D8" s="9" t="e">
        <f>VLOOKUP($C8,Configurazione!A50:B51,2,0)</f>
        <v>#N/A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3"/>
      <c r="B9" s="23"/>
      <c r="C9"/>
      <c r="D9" s="11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30" t="s">
        <v>46</v>
      </c>
      <c r="B10" s="30"/>
      <c r="C10" s="19"/>
      <c r="D10" s="9" t="e">
        <f>Configurazione!A21*D8</f>
        <v>#N/A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3"/>
      <c r="B11" s="23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30" t="s">
        <v>47</v>
      </c>
      <c r="B12" s="30"/>
      <c r="C12" s="19"/>
      <c r="D12" s="9" t="e">
        <f>VLOOKUP(C12,Configurazione!E3:F26,2,0)</f>
        <v>#N/A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3"/>
      <c r="B13" s="2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30" t="s">
        <v>48</v>
      </c>
      <c r="B14" s="30"/>
      <c r="C14" s="31"/>
      <c r="D14" s="32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3"/>
      <c r="B15" s="23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0" t="s">
        <v>49</v>
      </c>
      <c r="B16" s="30"/>
      <c r="C16" s="19"/>
      <c r="D16" s="9" t="e">
        <f>VLOOKUP($C16,Configurazione!K3:L4,2,0)</f>
        <v>#N/A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/>
      <c r="C17" s="33"/>
      <c r="D17" s="3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5" t="s">
        <v>50</v>
      </c>
      <c r="B18" s="9"/>
      <c r="C18" s="36" t="e">
        <f>((D10*D8)+(D6/500)*Configurazione!G59)*D12+(D14*2)+D16</f>
        <v>#N/A</v>
      </c>
      <c r="D18" s="34"/>
      <c r="E18"/>
      <c r="F18"/>
      <c r="G18" s="37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4" ht="12.75">
      <c r="A19" s="38"/>
      <c r="B19" s="34"/>
      <c r="C19" s="34"/>
      <c r="D19" s="34"/>
    </row>
    <row r="20" spans="1:3" ht="12.75">
      <c r="A20"/>
      <c r="B20"/>
      <c r="C20"/>
    </row>
    <row r="21" spans="1:3" ht="15">
      <c r="A21" s="48" t="e">
        <f>IF(C18&lt;=1,"AMBULANZA NON OBBLIGATORIA","RISORSE CONSIGLIATE")</f>
        <v>#N/A</v>
      </c>
      <c r="B21" s="48"/>
      <c r="C21" s="48"/>
    </row>
    <row r="22" spans="1:3" ht="12.75">
      <c r="A22"/>
      <c r="B22"/>
      <c r="C22"/>
    </row>
    <row r="23" spans="1:3" ht="13.5">
      <c r="A23" s="14" t="s">
        <v>51</v>
      </c>
      <c r="B23" s="14"/>
      <c r="C23" s="39" t="e">
        <f>Configurazione!J19</f>
        <v>#N/A</v>
      </c>
    </row>
    <row r="24" spans="1:3" ht="12.75">
      <c r="A24" s="11"/>
      <c r="B24" s="11"/>
      <c r="C24"/>
    </row>
    <row r="25" spans="1:3" ht="13.5">
      <c r="A25" s="14" t="s">
        <v>52</v>
      </c>
      <c r="B25" s="14"/>
      <c r="C25" s="39" t="e">
        <f>Configurazione!J30</f>
        <v>#N/A</v>
      </c>
    </row>
    <row r="26" spans="1:3" ht="12.75">
      <c r="A26" s="11"/>
      <c r="B26" s="11"/>
      <c r="C26"/>
    </row>
    <row r="27" spans="1:3" ht="13.5">
      <c r="A27" s="14" t="s">
        <v>53</v>
      </c>
      <c r="B27" s="14"/>
      <c r="C27" s="39" t="e">
        <f>Configurazione!M34</f>
        <v>#N/A</v>
      </c>
    </row>
    <row r="30" spans="1:6" ht="14.25" customHeight="1">
      <c r="A30" s="44" t="s">
        <v>54</v>
      </c>
      <c r="B30" s="44"/>
      <c r="C30" s="44"/>
      <c r="D30" s="44"/>
      <c r="E30" s="44"/>
      <c r="F30" s="44"/>
    </row>
    <row r="31" spans="1:6" ht="12.75">
      <c r="A31" s="44"/>
      <c r="B31" s="44"/>
      <c r="C31" s="44"/>
      <c r="D31" s="44"/>
      <c r="E31" s="44"/>
      <c r="F31" s="44"/>
    </row>
    <row r="32" spans="1:6" ht="12.75">
      <c r="A32" s="49"/>
      <c r="B32" s="49"/>
      <c r="C32" s="49"/>
      <c r="D32" s="49"/>
      <c r="E32" s="49"/>
      <c r="F32" s="49"/>
    </row>
  </sheetData>
  <sheetProtection password="CD51" sheet="1" selectLockedCells="1"/>
  <mergeCells count="4">
    <mergeCell ref="A2:C2"/>
    <mergeCell ref="A4:B4"/>
    <mergeCell ref="A21:C21"/>
    <mergeCell ref="A30:F32"/>
  </mergeCells>
  <dataValidations count="4">
    <dataValidation type="list" operator="equal" showErrorMessage="1" sqref="C8">
      <formula1>Configurazione!$H$3:$H$4</formula1>
    </dataValidation>
    <dataValidation type="list" operator="equal" showErrorMessage="1" sqref="C10">
      <formula1>Configurazione!$A$3:$A$19</formula1>
    </dataValidation>
    <dataValidation type="list" operator="equal" allowBlank="1" showErrorMessage="1" sqref="C12">
      <formula1>Configurazione!$E$3:$E$26</formula1>
    </dataValidation>
    <dataValidation type="list" operator="equal" showErrorMessage="1" sqref="C16:C17">
      <formula1>Configurazione!$K$3:$K$4</formula1>
    </dataValidation>
  </dataValidations>
  <printOptions/>
  <pageMargins left="0.2362204724409449" right="0.2755905511811024" top="0.2755905511811024" bottom="0.11811023622047245" header="0.5118110236220472" footer="0.5118110236220472"/>
  <pageSetup horizontalDpi="300" verticalDpi="300" orientation="portrait" paperSize="9" r:id="rId1"/>
  <headerFooter alignWithMargins="0">
    <oddFooter>&amp;LMOD 113 Stima delle risorse richieste secondo l'algoritmo Maurer                 Rev. 2 del 10.08.2015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59"/>
  <sheetViews>
    <sheetView zoomScale="110" zoomScaleNormal="110" zoomScalePageLayoutView="0" workbookViewId="0" topLeftCell="A43">
      <selection activeCell="G58" sqref="G58"/>
    </sheetView>
  </sheetViews>
  <sheetFormatPr defaultColWidth="11.57421875" defaultRowHeight="12.75"/>
  <cols>
    <col min="1" max="4" width="11.57421875" style="0" customWidth="1"/>
    <col min="5" max="5" width="15.421875" style="0" customWidth="1"/>
  </cols>
  <sheetData>
    <row r="2" spans="1:11" ht="12.75">
      <c r="A2" t="s">
        <v>55</v>
      </c>
      <c r="E2" t="s">
        <v>56</v>
      </c>
      <c r="H2" t="s">
        <v>57</v>
      </c>
      <c r="K2" t="s">
        <v>58</v>
      </c>
    </row>
    <row r="3" spans="1:12" ht="12.75">
      <c r="A3">
        <v>500</v>
      </c>
      <c r="B3">
        <v>1</v>
      </c>
      <c r="E3" t="s">
        <v>59</v>
      </c>
      <c r="F3">
        <v>0.1</v>
      </c>
      <c r="H3" t="s">
        <v>60</v>
      </c>
      <c r="I3">
        <v>2</v>
      </c>
      <c r="K3" t="s">
        <v>60</v>
      </c>
      <c r="L3">
        <v>10</v>
      </c>
    </row>
    <row r="4" spans="1:12" ht="12.75">
      <c r="A4">
        <v>1000</v>
      </c>
      <c r="B4">
        <v>2</v>
      </c>
      <c r="E4" t="s">
        <v>61</v>
      </c>
      <c r="F4">
        <v>0.2</v>
      </c>
      <c r="H4" t="s">
        <v>62</v>
      </c>
      <c r="I4">
        <v>1</v>
      </c>
      <c r="K4" t="s">
        <v>62</v>
      </c>
      <c r="L4">
        <v>0</v>
      </c>
    </row>
    <row r="5" spans="1:6" ht="12.75">
      <c r="A5">
        <v>1500</v>
      </c>
      <c r="B5">
        <v>3</v>
      </c>
      <c r="E5" t="s">
        <v>63</v>
      </c>
      <c r="F5">
        <v>0.2</v>
      </c>
    </row>
    <row r="6" spans="1:6" ht="12.75">
      <c r="A6">
        <v>3000</v>
      </c>
      <c r="B6">
        <v>4</v>
      </c>
      <c r="E6" t="s">
        <v>64</v>
      </c>
      <c r="F6">
        <v>0.2</v>
      </c>
    </row>
    <row r="7" spans="1:6" ht="12.75">
      <c r="A7">
        <v>6000</v>
      </c>
      <c r="B7">
        <v>5</v>
      </c>
      <c r="E7" t="s">
        <v>65</v>
      </c>
      <c r="F7">
        <v>0.2</v>
      </c>
    </row>
    <row r="8" spans="1:6" ht="12.75">
      <c r="A8">
        <v>10000</v>
      </c>
      <c r="B8">
        <v>6</v>
      </c>
      <c r="E8" t="s">
        <v>66</v>
      </c>
      <c r="F8">
        <v>0.30000000000000004</v>
      </c>
    </row>
    <row r="9" spans="1:6" ht="12.75">
      <c r="A9">
        <v>20000</v>
      </c>
      <c r="B9">
        <v>7</v>
      </c>
      <c r="E9" t="s">
        <v>67</v>
      </c>
      <c r="F9">
        <v>0.30000000000000004</v>
      </c>
    </row>
    <row r="10" spans="1:12" ht="12.75">
      <c r="A10">
        <f aca="true" t="shared" si="0" ref="A10:A19">A9+10000</f>
        <v>30000</v>
      </c>
      <c r="B10">
        <v>8</v>
      </c>
      <c r="E10" t="s">
        <v>68</v>
      </c>
      <c r="F10">
        <v>0.30000000000000004</v>
      </c>
      <c r="I10" t="s">
        <v>69</v>
      </c>
      <c r="L10" t="s">
        <v>70</v>
      </c>
    </row>
    <row r="11" spans="1:13" ht="12.75">
      <c r="A11">
        <f t="shared" si="0"/>
        <v>40000</v>
      </c>
      <c r="B11">
        <v>9</v>
      </c>
      <c r="E11" t="s">
        <v>71</v>
      </c>
      <c r="F11">
        <v>0.30000000000000004</v>
      </c>
      <c r="I11" t="s">
        <v>72</v>
      </c>
      <c r="J11" t="e">
        <f>IF(AND(Maurer!C18&gt;=0.1,Maurer!C18&lt;=1),0,0)</f>
        <v>#N/A</v>
      </c>
      <c r="L11" t="s">
        <v>73</v>
      </c>
      <c r="M11" t="s">
        <v>74</v>
      </c>
    </row>
    <row r="12" spans="1:13" ht="12.75">
      <c r="A12">
        <f t="shared" si="0"/>
        <v>50000</v>
      </c>
      <c r="B12">
        <v>10</v>
      </c>
      <c r="E12" t="s">
        <v>75</v>
      </c>
      <c r="F12">
        <v>0.30000000000000004</v>
      </c>
      <c r="I12" t="s">
        <v>76</v>
      </c>
      <c r="J12" t="e">
        <f>IF(AND(Maurer!C18&gt;=1,Maurer!C1&lt;=6),1,0)</f>
        <v>#N/A</v>
      </c>
      <c r="L12" t="s">
        <v>77</v>
      </c>
      <c r="M12" t="s">
        <v>78</v>
      </c>
    </row>
    <row r="13" spans="1:13" ht="12.75">
      <c r="A13">
        <f t="shared" si="0"/>
        <v>60000</v>
      </c>
      <c r="B13">
        <v>11</v>
      </c>
      <c r="E13" t="s">
        <v>79</v>
      </c>
      <c r="F13">
        <v>0.30000000000000004</v>
      </c>
      <c r="I13" t="s">
        <v>80</v>
      </c>
      <c r="J13" t="e">
        <f>IF(AND(Maurer!C18&gt;=6.1,Maurer!C18&lt;=25.5),4,0)</f>
        <v>#N/A</v>
      </c>
      <c r="L13" t="s">
        <v>81</v>
      </c>
      <c r="M13" t="s">
        <v>82</v>
      </c>
    </row>
    <row r="14" spans="1:10" ht="12.75">
      <c r="A14">
        <f t="shared" si="0"/>
        <v>70000</v>
      </c>
      <c r="B14">
        <v>12</v>
      </c>
      <c r="E14" t="s">
        <v>83</v>
      </c>
      <c r="F14">
        <v>0.30000000000000004</v>
      </c>
      <c r="I14" t="s">
        <v>84</v>
      </c>
      <c r="J14" t="e">
        <f>IF(AND(Maurer!C18&gt;=25.6,Maurer!C18&lt;=45.5),6,0)</f>
        <v>#N/A</v>
      </c>
    </row>
    <row r="15" spans="1:10" ht="12.75">
      <c r="A15">
        <f t="shared" si="0"/>
        <v>80000</v>
      </c>
      <c r="B15">
        <v>13</v>
      </c>
      <c r="E15" t="s">
        <v>85</v>
      </c>
      <c r="F15">
        <v>0.30000000000000004</v>
      </c>
      <c r="I15" t="s">
        <v>86</v>
      </c>
      <c r="J15" t="e">
        <f>IF(AND(Maurer!C18&gt;=45.6,Maurer!C18&lt;=60.5),8,0)</f>
        <v>#N/A</v>
      </c>
    </row>
    <row r="16" spans="1:18" ht="12.75">
      <c r="A16">
        <f t="shared" si="0"/>
        <v>90000</v>
      </c>
      <c r="B16">
        <v>14</v>
      </c>
      <c r="E16" s="40" t="s">
        <v>87</v>
      </c>
      <c r="F16">
        <v>0.35</v>
      </c>
      <c r="I16" t="s">
        <v>88</v>
      </c>
      <c r="J16" t="e">
        <f>IF(AND(Maurer!C18&gt;=60.6,Maurer!C18&lt;=75.5),9,0)</f>
        <v>#N/A</v>
      </c>
      <c r="R16" s="40"/>
    </row>
    <row r="17" spans="1:10" ht="12.75">
      <c r="A17">
        <f t="shared" si="0"/>
        <v>100000</v>
      </c>
      <c r="B17">
        <v>15</v>
      </c>
      <c r="E17" t="s">
        <v>89</v>
      </c>
      <c r="F17">
        <v>0.4</v>
      </c>
      <c r="I17" t="s">
        <v>90</v>
      </c>
      <c r="J17" t="e">
        <f>IF(AND(Maurer!C18&gt;=75.6,Maurer!C18&lt;=100),11,0)</f>
        <v>#N/A</v>
      </c>
    </row>
    <row r="18" spans="1:10" ht="12.75">
      <c r="A18">
        <f t="shared" si="0"/>
        <v>110000</v>
      </c>
      <c r="B18">
        <v>16</v>
      </c>
      <c r="E18" t="s">
        <v>91</v>
      </c>
      <c r="F18">
        <v>0.4</v>
      </c>
      <c r="I18" t="s">
        <v>92</v>
      </c>
      <c r="J18" t="e">
        <f>IF((Maurer!C18&gt;=100.1),14,0)</f>
        <v>#N/A</v>
      </c>
    </row>
    <row r="19" spans="1:10" ht="12.75">
      <c r="A19">
        <f t="shared" si="0"/>
        <v>120000</v>
      </c>
      <c r="B19">
        <v>17</v>
      </c>
      <c r="E19" t="s">
        <v>93</v>
      </c>
      <c r="F19">
        <v>0.4</v>
      </c>
      <c r="J19" t="e">
        <f>SUM(J11:J18)</f>
        <v>#N/A</v>
      </c>
    </row>
    <row r="20" spans="5:6" ht="12.75">
      <c r="E20" t="s">
        <v>94</v>
      </c>
      <c r="F20">
        <v>0.5</v>
      </c>
    </row>
    <row r="21" spans="1:6" ht="12.75">
      <c r="A21" s="41" t="e">
        <f>VLOOKUP(Maurer!$C10,A3:B19,2,0)</f>
        <v>#N/A</v>
      </c>
      <c r="E21" t="s">
        <v>95</v>
      </c>
      <c r="F21">
        <v>0.5</v>
      </c>
    </row>
    <row r="22" spans="5:6" ht="12.75">
      <c r="E22" t="s">
        <v>96</v>
      </c>
      <c r="F22">
        <v>0.7</v>
      </c>
    </row>
    <row r="23" spans="1:12" ht="12.75">
      <c r="A23" t="s">
        <v>97</v>
      </c>
      <c r="E23" t="s">
        <v>98</v>
      </c>
      <c r="F23">
        <v>0.8</v>
      </c>
      <c r="I23" t="s">
        <v>99</v>
      </c>
      <c r="L23" t="s">
        <v>100</v>
      </c>
    </row>
    <row r="24" spans="1:13" ht="12.75">
      <c r="A24" t="s">
        <v>101</v>
      </c>
      <c r="B24">
        <v>2</v>
      </c>
      <c r="E24" t="s">
        <v>102</v>
      </c>
      <c r="F24">
        <v>0.8</v>
      </c>
      <c r="I24" t="s">
        <v>103</v>
      </c>
      <c r="J24" t="e">
        <f>IF(AND(Maurer!C18&gt;=0.1,Maurer!C18&lt;=13),0,0)</f>
        <v>#N/A</v>
      </c>
      <c r="L24" t="s">
        <v>104</v>
      </c>
      <c r="M24" t="e">
        <f>IF(AND(Maurer!C18&gt;=0.1,Maurer!C18&lt;=2),0,0)</f>
        <v>#N/A</v>
      </c>
    </row>
    <row r="25" spans="1:13" ht="12.75">
      <c r="A25" t="s">
        <v>105</v>
      </c>
      <c r="B25">
        <v>1</v>
      </c>
      <c r="E25" t="s">
        <v>106</v>
      </c>
      <c r="F25">
        <v>0.9</v>
      </c>
      <c r="I25" t="s">
        <v>107</v>
      </c>
      <c r="J25" t="e">
        <f>IF(AND(Maurer!C18&gt;=13.1,Maurer!C18&lt;=30),1,0)</f>
        <v>#N/A</v>
      </c>
      <c r="L25" t="s">
        <v>108</v>
      </c>
      <c r="M25" t="e">
        <f>IF(AND(Maurer!C18&gt;=2.1,Maurer!C18&lt;=4),3,0)</f>
        <v>#N/A</v>
      </c>
    </row>
    <row r="26" spans="5:13" ht="12.75">
      <c r="E26" t="s">
        <v>109</v>
      </c>
      <c r="F26">
        <v>1</v>
      </c>
      <c r="I26" t="s">
        <v>77</v>
      </c>
      <c r="J26" t="e">
        <f>IF(AND(Maurer!C18&gt;=30.1,Maurer!C18&lt;=60),2,0)</f>
        <v>#N/A</v>
      </c>
      <c r="L26" t="s">
        <v>110</v>
      </c>
      <c r="M26" t="e">
        <f>IF(AND(Maurer!C18&gt;=4.1,Maurer!C18&lt;=13.5),5,0)</f>
        <v>#N/A</v>
      </c>
    </row>
    <row r="27" spans="9:13" ht="12.75">
      <c r="I27" t="s">
        <v>111</v>
      </c>
      <c r="J27" t="e">
        <f>IF(AND(Maurer!C18&gt;=60.1,Maurer!C18&lt;=90),3,0)</f>
        <v>#N/A</v>
      </c>
      <c r="L27" t="s">
        <v>112</v>
      </c>
      <c r="M27" t="e">
        <f>IF(AND(Maurer!C18&gt;=13.6,Maurer!C18&lt;=22),10,0)</f>
        <v>#N/A</v>
      </c>
    </row>
    <row r="28" spans="2:13" ht="12.75">
      <c r="B28" t="s">
        <v>70</v>
      </c>
      <c r="I28" t="s">
        <v>113</v>
      </c>
      <c r="J28" t="e">
        <f>IF((Maurer!C18&gt;=120),4,0)</f>
        <v>#N/A</v>
      </c>
      <c r="L28" t="s">
        <v>114</v>
      </c>
      <c r="M28" t="e">
        <f>IF(AND(Maurer!C18&gt;=22.1,Maurer!C18&lt;=40),20,0)</f>
        <v>#N/A</v>
      </c>
    </row>
    <row r="29" spans="2:13" ht="12.75">
      <c r="B29" t="s">
        <v>73</v>
      </c>
      <c r="C29" t="s">
        <v>74</v>
      </c>
      <c r="L29" t="s">
        <v>115</v>
      </c>
      <c r="M29" t="e">
        <f>IF(AND(Maurer!C18&gt;=40.1,Maurer!C18&lt;=60),30,0)</f>
        <v>#N/A</v>
      </c>
    </row>
    <row r="30" spans="2:13" ht="12.75">
      <c r="B30" t="s">
        <v>77</v>
      </c>
      <c r="C30" t="s">
        <v>78</v>
      </c>
      <c r="F30" t="s">
        <v>116</v>
      </c>
      <c r="J30" t="e">
        <f>SUM(J24:J29)</f>
        <v>#N/A</v>
      </c>
      <c r="L30" t="s">
        <v>117</v>
      </c>
      <c r="M30" t="e">
        <f>IF(AND(Maurer!C18&gt;=60.1,Maurer!C18&lt;=80),40,0)</f>
        <v>#N/A</v>
      </c>
    </row>
    <row r="31" spans="2:13" ht="12.75">
      <c r="B31" t="s">
        <v>81</v>
      </c>
      <c r="C31" t="s">
        <v>82</v>
      </c>
      <c r="F31" t="s">
        <v>118</v>
      </c>
      <c r="G31">
        <v>1</v>
      </c>
      <c r="L31" t="s">
        <v>119</v>
      </c>
      <c r="M31" t="e">
        <f>IF(AND(Maurer!C18&gt;=80.1,Maurer!C18&lt;=100),80,0)</f>
        <v>#N/A</v>
      </c>
    </row>
    <row r="32" spans="6:13" ht="12.75">
      <c r="F32" t="s">
        <v>120</v>
      </c>
      <c r="G32">
        <v>2</v>
      </c>
      <c r="I32" t="s">
        <v>121</v>
      </c>
      <c r="L32" t="s">
        <v>122</v>
      </c>
      <c r="M32" t="e">
        <f>IF(AND(Maurer!C18&gt;=100.1,Maurer!C18&lt;=120),120,0)</f>
        <v>#N/A</v>
      </c>
    </row>
    <row r="33" spans="6:13" ht="12.75">
      <c r="F33" t="s">
        <v>123</v>
      </c>
      <c r="G33">
        <v>3</v>
      </c>
      <c r="I33" t="s">
        <v>60</v>
      </c>
      <c r="J33">
        <v>1</v>
      </c>
      <c r="L33" t="s">
        <v>124</v>
      </c>
      <c r="M33" t="e">
        <f>IF((Maurer!C18&gt;=120),140,0)</f>
        <v>#N/A</v>
      </c>
    </row>
    <row r="34" spans="1:13" ht="12.75">
      <c r="A34" t="s">
        <v>125</v>
      </c>
      <c r="F34" t="s">
        <v>126</v>
      </c>
      <c r="G34">
        <v>4</v>
      </c>
      <c r="I34" t="s">
        <v>62</v>
      </c>
      <c r="J34">
        <v>0</v>
      </c>
      <c r="M34" t="e">
        <f>SUM(M24:M33)</f>
        <v>#N/A</v>
      </c>
    </row>
    <row r="35" spans="1:2" ht="12.75">
      <c r="A35" t="s">
        <v>127</v>
      </c>
      <c r="B35">
        <v>1</v>
      </c>
    </row>
    <row r="36" spans="1:4" ht="12.75">
      <c r="A36" t="s">
        <v>128</v>
      </c>
      <c r="B36">
        <v>2</v>
      </c>
      <c r="D36" t="s">
        <v>129</v>
      </c>
    </row>
    <row r="37" spans="1:13" ht="12.75">
      <c r="A37" t="s">
        <v>130</v>
      </c>
      <c r="B37">
        <v>3</v>
      </c>
      <c r="D37" t="s">
        <v>131</v>
      </c>
      <c r="E37">
        <v>1</v>
      </c>
      <c r="G37" t="s">
        <v>132</v>
      </c>
      <c r="J37" t="s">
        <v>133</v>
      </c>
      <c r="M37" t="s">
        <v>134</v>
      </c>
    </row>
    <row r="38" spans="1:14" ht="12.75">
      <c r="A38" t="s">
        <v>135</v>
      </c>
      <c r="B38">
        <v>4</v>
      </c>
      <c r="D38" t="s">
        <v>136</v>
      </c>
      <c r="E38">
        <v>2</v>
      </c>
      <c r="G38" t="s">
        <v>137</v>
      </c>
      <c r="H38">
        <v>0</v>
      </c>
      <c r="J38" t="s">
        <v>60</v>
      </c>
      <c r="K38">
        <v>2</v>
      </c>
      <c r="M38" t="s">
        <v>60</v>
      </c>
      <c r="N38">
        <v>3</v>
      </c>
    </row>
    <row r="39" spans="4:14" ht="12.75">
      <c r="D39" t="s">
        <v>138</v>
      </c>
      <c r="E39">
        <v>3</v>
      </c>
      <c r="G39" t="s">
        <v>139</v>
      </c>
      <c r="H39">
        <v>1</v>
      </c>
      <c r="J39" t="s">
        <v>62</v>
      </c>
      <c r="K39">
        <v>0</v>
      </c>
      <c r="M39" t="s">
        <v>62</v>
      </c>
      <c r="N39">
        <v>0</v>
      </c>
    </row>
    <row r="41" spans="1:13" ht="12.75">
      <c r="A41" t="s">
        <v>140</v>
      </c>
      <c r="D41" t="s">
        <v>141</v>
      </c>
      <c r="G41" t="s">
        <v>142</v>
      </c>
      <c r="J41" t="s">
        <v>143</v>
      </c>
      <c r="M41" t="s">
        <v>144</v>
      </c>
    </row>
    <row r="42" spans="1:14" ht="12.75">
      <c r="A42" t="s">
        <v>60</v>
      </c>
      <c r="B42">
        <v>-1</v>
      </c>
      <c r="D42" t="s">
        <v>145</v>
      </c>
      <c r="E42">
        <v>0</v>
      </c>
      <c r="G42" s="40" t="s">
        <v>146</v>
      </c>
      <c r="H42">
        <v>1</v>
      </c>
      <c r="J42" t="s">
        <v>147</v>
      </c>
      <c r="K42">
        <v>1</v>
      </c>
      <c r="M42" t="s">
        <v>148</v>
      </c>
      <c r="N42">
        <v>1</v>
      </c>
    </row>
    <row r="43" spans="1:14" ht="12.75">
      <c r="A43" t="s">
        <v>62</v>
      </c>
      <c r="B43">
        <v>0</v>
      </c>
      <c r="D43" t="s">
        <v>149</v>
      </c>
      <c r="E43">
        <v>1</v>
      </c>
      <c r="G43" s="40" t="s">
        <v>150</v>
      </c>
      <c r="H43">
        <v>2</v>
      </c>
      <c r="J43" t="s">
        <v>151</v>
      </c>
      <c r="K43">
        <v>2</v>
      </c>
      <c r="M43" t="s">
        <v>152</v>
      </c>
      <c r="N43">
        <v>2</v>
      </c>
    </row>
    <row r="44" spans="4:14" ht="12.75">
      <c r="D44" t="s">
        <v>153</v>
      </c>
      <c r="E44">
        <v>2</v>
      </c>
      <c r="G44" s="40" t="s">
        <v>154</v>
      </c>
      <c r="H44">
        <v>3</v>
      </c>
      <c r="J44" t="s">
        <v>155</v>
      </c>
      <c r="K44">
        <v>3</v>
      </c>
      <c r="M44" t="s">
        <v>156</v>
      </c>
      <c r="N44">
        <v>3</v>
      </c>
    </row>
    <row r="45" spans="4:8" ht="12.75">
      <c r="D45" t="s">
        <v>157</v>
      </c>
      <c r="E45">
        <v>3</v>
      </c>
      <c r="G45" s="40" t="s">
        <v>158</v>
      </c>
      <c r="H45">
        <v>4</v>
      </c>
    </row>
    <row r="46" spans="4:5" ht="12.75">
      <c r="D46" t="s">
        <v>159</v>
      </c>
      <c r="E46">
        <v>4</v>
      </c>
    </row>
    <row r="49" spans="1:4" ht="12.75">
      <c r="A49" t="s">
        <v>160</v>
      </c>
      <c r="D49" t="s">
        <v>161</v>
      </c>
    </row>
    <row r="50" spans="1:7" ht="12.75">
      <c r="A50" t="s">
        <v>60</v>
      </c>
      <c r="B50">
        <f>IF(Maurer!D6&lt;=500,1,2)</f>
        <v>1</v>
      </c>
      <c r="D50" t="e">
        <f>IF(Maurer!D6&gt;Maurer!D10,3,1)</f>
        <v>#N/A</v>
      </c>
      <c r="F50" t="s">
        <v>162</v>
      </c>
      <c r="G50" t="e">
        <f>Maurer!D6/Maurer!C10</f>
        <v>#DIV/0!</v>
      </c>
    </row>
    <row r="51" spans="1:2" ht="12.75">
      <c r="A51" t="s">
        <v>62</v>
      </c>
      <c r="B51">
        <v>1</v>
      </c>
    </row>
    <row r="52" spans="6:7" ht="12.75">
      <c r="F52" t="s">
        <v>163</v>
      </c>
      <c r="G52" t="e">
        <f>IF(G50&lt;=1,1,0)</f>
        <v>#DIV/0!</v>
      </c>
    </row>
    <row r="53" spans="6:7" ht="12.75">
      <c r="F53" t="s">
        <v>164</v>
      </c>
      <c r="G53" t="e">
        <f>IF(AND(G50&gt;1,G50&lt;=1.2),1.2,0)</f>
        <v>#DIV/0!</v>
      </c>
    </row>
    <row r="54" spans="6:7" ht="12.75">
      <c r="F54" t="s">
        <v>165</v>
      </c>
      <c r="G54" t="e">
        <f>IF(AND(G50&gt;1.2,G50&lt;=1.25),1.3,0)</f>
        <v>#DIV/0!</v>
      </c>
    </row>
    <row r="55" spans="6:7" ht="12.75">
      <c r="F55" t="s">
        <v>166</v>
      </c>
      <c r="G55" t="e">
        <f>IF(AND(G50&gt;1.3,G50&lt;=1.35),1.35,0)</f>
        <v>#DIV/0!</v>
      </c>
    </row>
    <row r="56" spans="6:7" ht="12.75">
      <c r="F56" t="s">
        <v>167</v>
      </c>
      <c r="G56" t="e">
        <f>IF(AND(G50&gt;1.4,G50&lt;=1.5),1.5,0)</f>
        <v>#DIV/0!</v>
      </c>
    </row>
    <row r="57" spans="6:7" ht="12.75">
      <c r="F57" t="s">
        <v>168</v>
      </c>
      <c r="G57" t="e">
        <f>IF(AND(G50&gt;1.5,G50&lt;=2),2,0)</f>
        <v>#DIV/0!</v>
      </c>
    </row>
    <row r="58" spans="6:7" ht="12.75">
      <c r="F58" t="s">
        <v>169</v>
      </c>
      <c r="G58" t="e">
        <f>IF(G50&gt;2,4,0)</f>
        <v>#DIV/0!</v>
      </c>
    </row>
    <row r="59" ht="12.75">
      <c r="G59" t="e">
        <f>SUM(G52:G58)</f>
        <v>#DIV/0!</v>
      </c>
    </row>
  </sheetData>
  <sheetProtection password="CD51" sheet="1"/>
  <printOptions/>
  <pageMargins left="0.23541666666666666" right="0.2777777777777778" top="0.2604166666666667" bottom="0.11666666666666667" header="0.5118055555555555" footer="0.5118055555555555"/>
  <pageSetup horizontalDpi="300" verticalDpi="300" orientation="portrait" paperSize="9"/>
  <legacyDrawing r:id="rId2"/>
  <oleObjects>
    <oleObject progId="" shapeId="184585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Cinzia</cp:lastModifiedBy>
  <cp:lastPrinted>2015-08-24T10:42:07Z</cp:lastPrinted>
  <dcterms:created xsi:type="dcterms:W3CDTF">2015-11-04T15:05:40Z</dcterms:created>
  <dcterms:modified xsi:type="dcterms:W3CDTF">2015-11-04T15:05:41Z</dcterms:modified>
  <cp:category/>
  <cp:version/>
  <cp:contentType/>
  <cp:contentStatus/>
</cp:coreProperties>
</file>